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List1!$F$2:$I$2</definedName>
    <definedName name="_xlnm._FilterDatabase" localSheetId="1" hidden="1">List2!$A$1:$D$1</definedName>
  </definedNames>
  <calcPr calcId="145621"/>
</workbook>
</file>

<file path=xl/calcChain.xml><?xml version="1.0" encoding="utf-8"?>
<calcChain xmlns="http://schemas.openxmlformats.org/spreadsheetml/2006/main">
  <c r="B75" i="1" l="1"/>
  <c r="C9" i="1" l="1"/>
  <c r="B9" i="1"/>
  <c r="D22" i="1" l="1"/>
  <c r="L21" i="2" l="1"/>
  <c r="D46" i="1" l="1"/>
  <c r="D69" i="1"/>
  <c r="D38" i="1"/>
  <c r="D19" i="1"/>
  <c r="D74" i="1"/>
  <c r="D73" i="1"/>
  <c r="D71" i="1"/>
  <c r="D72" i="1"/>
  <c r="D70" i="1"/>
  <c r="D68" i="1"/>
  <c r="D67" i="1"/>
  <c r="D65" i="1"/>
  <c r="D64" i="1"/>
  <c r="D63" i="1"/>
  <c r="C62" i="1"/>
  <c r="B62" i="1"/>
  <c r="D62" i="1"/>
  <c r="D61" i="1"/>
  <c r="D60" i="1"/>
  <c r="D59" i="1"/>
  <c r="D58" i="1"/>
  <c r="D57" i="1"/>
  <c r="D56" i="1"/>
  <c r="D55" i="1"/>
  <c r="C54" i="1"/>
  <c r="B54" i="1"/>
  <c r="D54" i="1"/>
  <c r="D53" i="1"/>
  <c r="D52" i="1"/>
  <c r="D51" i="1"/>
  <c r="C50" i="1"/>
  <c r="C75" i="1" s="1"/>
  <c r="D50" i="1"/>
  <c r="D49" i="1"/>
  <c r="D48" i="1"/>
  <c r="D47" i="1"/>
  <c r="D45" i="1"/>
  <c r="D44" i="1"/>
  <c r="D41" i="1"/>
  <c r="D40" i="1"/>
  <c r="D39" i="1"/>
  <c r="D35" i="1"/>
  <c r="D34" i="1"/>
  <c r="D33" i="1"/>
  <c r="D32" i="1"/>
  <c r="D31" i="1"/>
  <c r="D30" i="1"/>
  <c r="D29" i="1"/>
  <c r="D28" i="1"/>
  <c r="D26" i="1"/>
  <c r="D25" i="1"/>
  <c r="D24" i="1"/>
  <c r="D23" i="1"/>
  <c r="D20" i="1"/>
  <c r="D21" i="1"/>
  <c r="D18" i="1"/>
  <c r="D16" i="1"/>
  <c r="D15" i="1"/>
  <c r="D14" i="1"/>
  <c r="D13" i="1"/>
  <c r="D12" i="1"/>
  <c r="D10" i="1"/>
  <c r="D8" i="1"/>
  <c r="D6" i="1"/>
  <c r="D4" i="1"/>
  <c r="D3" i="1"/>
  <c r="D5" i="1"/>
  <c r="D11" i="1"/>
  <c r="D66" i="1" l="1"/>
  <c r="D75" i="1" s="1"/>
</calcChain>
</file>

<file path=xl/sharedStrings.xml><?xml version="1.0" encoding="utf-8"?>
<sst xmlns="http://schemas.openxmlformats.org/spreadsheetml/2006/main" count="160" uniqueCount="136">
  <si>
    <t>Společnost</t>
  </si>
  <si>
    <t>zprostředkované pojistné celkem</t>
  </si>
  <si>
    <t>z toho život</t>
  </si>
  <si>
    <t>předepsané pojistné (nové obchody)</t>
  </si>
  <si>
    <t>ACTUS Praha s.r.o.</t>
  </si>
  <si>
    <t>ADAM finance, a.s.</t>
  </si>
  <si>
    <t>ADORES - centrum pojištění, s.r.o.</t>
  </si>
  <si>
    <t>Agripos-Rakovník, spol. s r.o.</t>
  </si>
  <si>
    <t>AR CREDIT s.r.o.</t>
  </si>
  <si>
    <t>ASPEKTUM s.r.o.</t>
  </si>
  <si>
    <t>A-Z Risk Service spol. s.r.o.</t>
  </si>
  <si>
    <t>Broker Team a.s.</t>
  </si>
  <si>
    <t>BUCKLEY ASSOCIATES, a.s.</t>
  </si>
  <si>
    <t>CZECH INSURANCE AGENCY s.r.o.</t>
  </si>
  <si>
    <t>Čásenský &amp; Hlavatý, s.r.o.</t>
  </si>
  <si>
    <t>ČSOB Leasing pojišťovací makléř, s.r.o.</t>
  </si>
  <si>
    <t>DAKARA, spol. s.r.o.</t>
  </si>
  <si>
    <t xml:space="preserve">Drábek Miroslav - CREDIT PLUS </t>
  </si>
  <si>
    <t>EUROLA, s.r.o.</t>
  </si>
  <si>
    <t>EZ INVEST, s.r.o.</t>
  </si>
  <si>
    <t>GrECo, JLT Czech Republic s.r.o.</t>
  </si>
  <si>
    <t>HONORIS FINANCE, a.s.</t>
  </si>
  <si>
    <t>IBS-GROUP S.E.</t>
  </si>
  <si>
    <t>IMG, a.s.</t>
  </si>
  <si>
    <t>INSIA a.s.</t>
  </si>
  <si>
    <t>International Insurance Brokers s.r.o.</t>
  </si>
  <si>
    <t>INVERMA CZ spol. s r.o.</t>
  </si>
  <si>
    <t>ITEAD a.s.</t>
  </si>
  <si>
    <t>JB Group s.r.o.</t>
  </si>
  <si>
    <t>K+K Broker spol. s.r.o.</t>
  </si>
  <si>
    <t xml:space="preserve">KRAL&amp;PARTNER, s.r.o. </t>
  </si>
  <si>
    <t xml:space="preserve">Krist Zdeněk Mgr. </t>
  </si>
  <si>
    <t>MAI INSURANCE BROKERS s.r.o.</t>
  </si>
  <si>
    <t>MAPOR, spol. s r.o.</t>
  </si>
  <si>
    <t>MF Turnov, s.r.o.</t>
  </si>
  <si>
    <t>MONDE FINANCE s.r.o.</t>
  </si>
  <si>
    <t>Moraviatel a.s.</t>
  </si>
  <si>
    <t>Němec &amp; partners, a.s.</t>
  </si>
  <si>
    <t>NPS GROUP s.r.o.</t>
  </si>
  <si>
    <t>OK HOLDING</t>
  </si>
  <si>
    <t>OPTIMUM - centrum pojištění, s.r.o.</t>
  </si>
  <si>
    <t>OPTIMUS BROKERS s.r.o.</t>
  </si>
  <si>
    <t>PAB - pojišťovací agentura Beata s.r.o.</t>
  </si>
  <si>
    <t>Petřík Brokers, a.s.</t>
  </si>
  <si>
    <t>Pojišťovací makléřství INPOL a.s.</t>
  </si>
  <si>
    <t xml:space="preserve">Profi BONUS spol. s r.o. </t>
  </si>
  <si>
    <t xml:space="preserve">Resort Finance, s.r.o. </t>
  </si>
  <si>
    <t>RESPECT GROUP</t>
  </si>
  <si>
    <t>SATUM CZECH s.r.o.</t>
  </si>
  <si>
    <t>skupina RENOMIA, a.s.</t>
  </si>
  <si>
    <t>SMS finanční poradenství, a.s.</t>
  </si>
  <si>
    <t>STEINER &amp; MAKOVEC s.r.o.</t>
  </si>
  <si>
    <t>TRINCO, s.r.o.</t>
  </si>
  <si>
    <t xml:space="preserve">Ústecká makléřská společnost s.r.o. </t>
  </si>
  <si>
    <t>VIKTORIA PARDUBICE a.s.</t>
  </si>
  <si>
    <t>ZFP makléř, s.r.o.</t>
  </si>
  <si>
    <t>VÝSLEDKY CELKEM</t>
  </si>
  <si>
    <t>RESPECT GROUP se skládá ze společností  RESPECT, a.s., RESPECT BRNO, s.r.o. a RESPECT OSTRAVA, s.r.o.</t>
  </si>
  <si>
    <t>Skupina OK HOLDING zahrnuje společnosti: Claro s.r.o., INTERWAY Insurance Brokers, spol. s r.o., Makléřská národní s.r.o., Medito CZ a.s., OK Klient a.s., OK GROUP a.s.</t>
  </si>
  <si>
    <t>PANTHER´s - makléřská pojišťovací společnost s r.o. - zahrnuje i výsledky společnosti Partner P&amp;J s.r.o.</t>
  </si>
  <si>
    <t>IKEP, s.r.o.**</t>
  </si>
  <si>
    <t>Skupina RENOMIA, a.s. zahrnuje společnosti RENOMIA, a.s., C.E.B., a.s., Makléřská pojišťovací společnost PBT, s.r.o., Seintillo s.r.o., WI-ASS ČR s.r.o, Confido Broker, s.r.o., VPV Bohemia s.r.o., PFP, s.r.o., Marvel Credit a.s., Britanika Holding a.s., I.P.Trust, a.s., a TW EXTENSO, s.r.o.</t>
  </si>
  <si>
    <t>MPS-makléřská pojišťovací spol., s.r.o.</t>
  </si>
  <si>
    <t>PANTHER´s-makléř.pojišť. spol. s r.o.</t>
  </si>
  <si>
    <t>PETRISK INTERNATIONAL a.s.</t>
  </si>
  <si>
    <t>PRVNÍ MORAVSKÁ SPOLEČNOST,spol.s.r.o.</t>
  </si>
  <si>
    <t>Strouhal Pavel, SP makléřská spol.</t>
  </si>
  <si>
    <t>UniCredit pojišťovací makléřská spol.s r.o.</t>
  </si>
  <si>
    <t>Poznámky:</t>
  </si>
  <si>
    <t>INIS International Insurance Service s.r.o.</t>
  </si>
  <si>
    <t>A-Z Risk Service, s.r.o.</t>
  </si>
  <si>
    <t>ADORES - centrum pojištění, a.s.</t>
  </si>
  <si>
    <t>ACTUS Praha, s.r.o.</t>
  </si>
  <si>
    <t>AR CREDIT, s.r.o.</t>
  </si>
  <si>
    <t>BROKER TEAM, a.s.</t>
  </si>
  <si>
    <t>CZECH INSURANCE AGENCY, s.r.o.</t>
  </si>
  <si>
    <t>Čásenský &amp; Hlavatý s.r.o.</t>
  </si>
  <si>
    <t>D.K.A., s.r.o.</t>
  </si>
  <si>
    <t>DAKARA, s.r.o.</t>
  </si>
  <si>
    <t>Euvin, s.r.o.</t>
  </si>
  <si>
    <t>Experting, s.r.o.</t>
  </si>
  <si>
    <t>GrECo, s.r.o.</t>
  </si>
  <si>
    <t>Honoris Finance a.s.</t>
  </si>
  <si>
    <t>IBS - GROUP, s.e.</t>
  </si>
  <si>
    <t>IKEP, s.r.o.</t>
  </si>
  <si>
    <t>INIS, s.r.o.</t>
  </si>
  <si>
    <t>ITEAD, a.s.</t>
  </si>
  <si>
    <t>JB Group, s.r.o.</t>
  </si>
  <si>
    <t>K+K Broker, s.r.o.</t>
  </si>
  <si>
    <t>KRAL&amp;PARTNER</t>
  </si>
  <si>
    <t>Lautier &amp; Partners, s.r.o.</t>
  </si>
  <si>
    <t>LIMMIT s.r.o.</t>
  </si>
  <si>
    <t>MAI INSURANCE BROKERS,s.r.o.</t>
  </si>
  <si>
    <t>MAPOR spol. s r.o.</t>
  </si>
  <si>
    <t>MPS - makléřská pojišťovací společnost, s.r.o.</t>
  </si>
  <si>
    <t>Němec &amp; partners, s.r.o.</t>
  </si>
  <si>
    <t>NPS GROUP, s.r.o.</t>
  </si>
  <si>
    <t>OPTIMUM centrum pojištění, s.r.o.</t>
  </si>
  <si>
    <t>PAB - pojišťovací agentura BEATA, s.r.o.</t>
  </si>
  <si>
    <t>PANTHER´s - makléřská poj. spol. s r.o.</t>
  </si>
  <si>
    <t>PETRISK INTERNATIONAL, a.s.</t>
  </si>
  <si>
    <t>Pojišťovací makléřství INPOL, a.s.</t>
  </si>
  <si>
    <t>Pojišťovací servis M+M s.r.o.</t>
  </si>
  <si>
    <t>Profi Bonus, s.r.o.</t>
  </si>
  <si>
    <t>PRVNÍ MORAVSKÁ SPOLEČNOST, s.r.o.</t>
  </si>
  <si>
    <t>Seintillo s.o.</t>
  </si>
  <si>
    <t>Resort Finance, s.r.o.</t>
  </si>
  <si>
    <t>Steiner &amp; Makovec, s.r.o.</t>
  </si>
  <si>
    <t>Ústecká Makléřská společnost, s.r.o.</t>
  </si>
  <si>
    <t>UniCredit pojišťovací makléřská spol. s r.o.</t>
  </si>
  <si>
    <t>Viktoria Pardubice, a.s.</t>
  </si>
  <si>
    <t>MORAVIATEL</t>
  </si>
  <si>
    <t>Drábek Miroslav</t>
  </si>
  <si>
    <t>Krist Zdeněk</t>
  </si>
  <si>
    <t>Strouhal Pavel</t>
  </si>
  <si>
    <t>S Servis, s.r.o.</t>
  </si>
  <si>
    <t>d</t>
  </si>
  <si>
    <t>gfdt</t>
  </si>
  <si>
    <t>gdf</t>
  </si>
  <si>
    <t>gc</t>
  </si>
  <si>
    <t>Seintillo s.r.o.</t>
  </si>
  <si>
    <t>Výsledky členů AČPM v roce 2017 (v Kč)</t>
  </si>
  <si>
    <t>ADAM finance, a.s. *</t>
  </si>
  <si>
    <t>* údaje z roku 2016</t>
  </si>
  <si>
    <t>EUVIN s.r.o.**</t>
  </si>
  <si>
    <t>INVERMA CZ spol. s r.o.**</t>
  </si>
  <si>
    <t>S SERVIS, s.r.o.</t>
  </si>
  <si>
    <t>** předepsané pojistné z roku 2016</t>
  </si>
  <si>
    <t>EXPERTING, spol. s r. o.</t>
  </si>
  <si>
    <t>Aon Central and Eastern Europe a.s.</t>
  </si>
  <si>
    <t>KRAL&amp;PARTNER, s.r.o.</t>
  </si>
  <si>
    <t>MARSH, s.r.o.</t>
  </si>
  <si>
    <t>Pojišťovací servis M+M s.r.o. ***</t>
  </si>
  <si>
    <t>*** údaje z roku 2015</t>
  </si>
  <si>
    <t>neuvedli</t>
  </si>
  <si>
    <t>MARSH s.r.o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</si>
</sst>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8" xfId="0" applyBorder="1" applyAlignment="1"/>
    <xf numFmtId="0" fontId="0" fillId="0" borderId="8" xfId="0" applyFill="1" applyBorder="1" applyAlignment="1">
      <alignment wrapText="1"/>
    </xf>
    <xf numFmtId="0" fontId="0" fillId="0" borderId="8" xfId="0" applyFont="1" applyBorder="1" applyAlignment="1">
      <alignment wrapText="1"/>
    </xf>
    <xf numFmtId="3" fontId="1" fillId="0" borderId="1" xfId="0" applyNumberFormat="1" applyFont="1" applyBorder="1" applyAlignment="1">
      <alignment vertical="center"/>
    </xf>
    <xf numFmtId="0" fontId="0" fillId="2" borderId="8" xfId="0" applyFill="1" applyBorder="1" applyAlignment="1">
      <alignment horizontal="left" vertical="center" wrapText="1"/>
    </xf>
    <xf numFmtId="0" fontId="0" fillId="2" borderId="8" xfId="0" applyFont="1" applyFill="1" applyBorder="1" applyAlignment="1">
      <alignment wrapText="1"/>
    </xf>
    <xf numFmtId="0" fontId="0" fillId="0" borderId="0" xfId="0" applyBorder="1"/>
    <xf numFmtId="0" fontId="3" fillId="0" borderId="0" xfId="0" applyFont="1"/>
    <xf numFmtId="0" fontId="1" fillId="0" borderId="8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0" fillId="2" borderId="9" xfId="0" applyFill="1" applyBorder="1" applyAlignment="1">
      <alignment wrapText="1"/>
    </xf>
    <xf numFmtId="0" fontId="0" fillId="3" borderId="0" xfId="0" applyFill="1"/>
    <xf numFmtId="3" fontId="0" fillId="2" borderId="8" xfId="0" applyNumberFormat="1" applyFill="1" applyBorder="1" applyAlignment="1">
      <alignment wrapText="1"/>
    </xf>
    <xf numFmtId="3" fontId="0" fillId="3" borderId="8" xfId="0" applyNumberFormat="1" applyFill="1" applyBorder="1" applyAlignment="1">
      <alignment wrapText="1"/>
    </xf>
    <xf numFmtId="3" fontId="0" fillId="2" borderId="8" xfId="0" applyNumberFormat="1" applyFill="1" applyBorder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topLeftCell="A29" workbookViewId="0">
      <selection activeCell="F35" sqref="F35"/>
    </sheetView>
  </sheetViews>
  <sheetFormatPr defaultRowHeight="15" x14ac:dyDescent="0.25"/>
  <cols>
    <col min="1" max="1" width="39.140625" customWidth="1"/>
    <col min="2" max="2" width="16.28515625" bestFit="1" customWidth="1"/>
    <col min="3" max="3" width="13.5703125" bestFit="1" customWidth="1"/>
    <col min="4" max="4" width="19.85546875" bestFit="1" customWidth="1"/>
    <col min="5" max="5" width="11.85546875" bestFit="1" customWidth="1"/>
    <col min="6" max="7" width="21.7109375" customWidth="1"/>
    <col min="8" max="8" width="18.28515625" customWidth="1"/>
    <col min="9" max="9" width="24.28515625" customWidth="1"/>
  </cols>
  <sheetData>
    <row r="1" spans="1:9" ht="15.75" thickBot="1" x14ac:dyDescent="0.3">
      <c r="A1" s="27" t="s">
        <v>121</v>
      </c>
      <c r="B1" s="28"/>
      <c r="C1" s="28"/>
      <c r="D1" s="29"/>
      <c r="E1" s="1"/>
      <c r="F1" s="1"/>
      <c r="G1" s="1"/>
    </row>
    <row r="2" spans="1:9" ht="25.5" x14ac:dyDescent="0.25">
      <c r="A2" s="2" t="s">
        <v>0</v>
      </c>
      <c r="B2" s="3" t="s">
        <v>1</v>
      </c>
      <c r="C2" s="4" t="s">
        <v>2</v>
      </c>
      <c r="D2" s="5" t="s">
        <v>3</v>
      </c>
      <c r="E2" s="1"/>
      <c r="F2" s="1"/>
      <c r="G2" s="1"/>
      <c r="H2" s="19"/>
      <c r="I2" s="19"/>
    </row>
    <row r="3" spans="1:9" x14ac:dyDescent="0.25">
      <c r="A3" s="6" t="s">
        <v>4</v>
      </c>
      <c r="B3" s="23">
        <v>8620350</v>
      </c>
      <c r="C3" s="23">
        <v>0</v>
      </c>
      <c r="D3" s="23">
        <f>302165+292056</f>
        <v>594221</v>
      </c>
      <c r="E3" s="1"/>
      <c r="F3" s="1"/>
      <c r="G3" s="1"/>
    </row>
    <row r="4" spans="1:9" x14ac:dyDescent="0.25">
      <c r="A4" s="6" t="s">
        <v>122</v>
      </c>
      <c r="B4" s="23">
        <v>4640014</v>
      </c>
      <c r="C4" s="23">
        <v>480050</v>
      </c>
      <c r="D4" s="23">
        <f>1556049</f>
        <v>1556049</v>
      </c>
      <c r="E4" s="1"/>
      <c r="F4" s="1"/>
      <c r="G4" s="1"/>
    </row>
    <row r="5" spans="1:9" x14ac:dyDescent="0.25">
      <c r="A5" s="6" t="s">
        <v>6</v>
      </c>
      <c r="B5" s="23">
        <v>98000000</v>
      </c>
      <c r="C5" s="23">
        <v>20100000</v>
      </c>
      <c r="D5" s="23">
        <f>19986999+6818880</f>
        <v>26805879</v>
      </c>
      <c r="E5" s="1"/>
      <c r="F5" s="1"/>
      <c r="G5" s="1"/>
    </row>
    <row r="6" spans="1:9" x14ac:dyDescent="0.25">
      <c r="A6" s="6" t="s">
        <v>7</v>
      </c>
      <c r="B6" s="23">
        <v>33500000</v>
      </c>
      <c r="C6" s="23">
        <v>0</v>
      </c>
      <c r="D6" s="23">
        <f>2191946+1207536</f>
        <v>3399482</v>
      </c>
      <c r="E6" s="1"/>
      <c r="F6" s="1"/>
      <c r="G6" s="1"/>
    </row>
    <row r="7" spans="1:9" s="1" customFormat="1" hidden="1" x14ac:dyDescent="0.25">
      <c r="A7" s="22" t="s">
        <v>129</v>
      </c>
      <c r="B7" s="24"/>
      <c r="C7" s="24"/>
      <c r="D7" s="24"/>
    </row>
    <row r="8" spans="1:9" x14ac:dyDescent="0.25">
      <c r="A8" s="6" t="s">
        <v>8</v>
      </c>
      <c r="B8" s="23">
        <v>95869377</v>
      </c>
      <c r="C8" s="23">
        <v>571224</v>
      </c>
      <c r="D8" s="23">
        <f>3783129+20503376</f>
        <v>24286505</v>
      </c>
      <c r="E8" s="1"/>
      <c r="F8" s="1"/>
      <c r="G8" s="1"/>
    </row>
    <row r="9" spans="1:9" s="1" customFormat="1" x14ac:dyDescent="0.25">
      <c r="A9" s="6" t="s">
        <v>129</v>
      </c>
      <c r="B9" s="23">
        <f>733715000+267966000</f>
        <v>1001681000</v>
      </c>
      <c r="C9" s="23">
        <f>41012000+19539000</f>
        <v>60551000</v>
      </c>
      <c r="D9" s="25" t="s">
        <v>134</v>
      </c>
    </row>
    <row r="10" spans="1:9" x14ac:dyDescent="0.25">
      <c r="A10" s="6" t="s">
        <v>9</v>
      </c>
      <c r="B10" s="23">
        <v>32271577</v>
      </c>
      <c r="C10" s="23">
        <v>71236</v>
      </c>
      <c r="D10" s="23">
        <f>5101631+2346281</f>
        <v>7447912</v>
      </c>
      <c r="E10" s="1"/>
      <c r="F10" s="1"/>
      <c r="G10" s="1"/>
    </row>
    <row r="11" spans="1:9" x14ac:dyDescent="0.25">
      <c r="A11" s="6" t="s">
        <v>10</v>
      </c>
      <c r="B11" s="23">
        <v>82500000</v>
      </c>
      <c r="C11" s="23">
        <v>0</v>
      </c>
      <c r="D11" s="23">
        <f>12199925+6463358</f>
        <v>18663283</v>
      </c>
      <c r="E11" s="1"/>
      <c r="F11" s="1"/>
      <c r="G11" s="1"/>
    </row>
    <row r="12" spans="1:9" x14ac:dyDescent="0.25">
      <c r="A12" s="7" t="s">
        <v>11</v>
      </c>
      <c r="B12" s="23">
        <v>210845625</v>
      </c>
      <c r="C12" s="23">
        <v>14958043</v>
      </c>
      <c r="D12" s="23">
        <f>36097684+22173657</f>
        <v>58271341</v>
      </c>
      <c r="E12" s="1"/>
      <c r="F12" s="1"/>
      <c r="G12" s="1"/>
    </row>
    <row r="13" spans="1:9" x14ac:dyDescent="0.25">
      <c r="A13" s="7" t="s">
        <v>12</v>
      </c>
      <c r="B13" s="23">
        <v>87609324</v>
      </c>
      <c r="C13" s="23">
        <v>0</v>
      </c>
      <c r="D13" s="23">
        <f>197427+22200874</f>
        <v>22398301</v>
      </c>
      <c r="E13" s="1"/>
      <c r="F13" s="1"/>
      <c r="G13" s="1"/>
    </row>
    <row r="14" spans="1:9" x14ac:dyDescent="0.25">
      <c r="A14" s="12" t="s">
        <v>13</v>
      </c>
      <c r="B14" s="23">
        <v>118300000</v>
      </c>
      <c r="C14" s="23">
        <v>65000</v>
      </c>
      <c r="D14" s="23">
        <f>12628944+3086657</f>
        <v>15715601</v>
      </c>
      <c r="E14" s="1"/>
      <c r="F14" s="1"/>
      <c r="G14" s="1"/>
    </row>
    <row r="15" spans="1:9" x14ac:dyDescent="0.25">
      <c r="A15" s="7" t="s">
        <v>14</v>
      </c>
      <c r="B15" s="23">
        <v>368150000</v>
      </c>
      <c r="C15" s="23">
        <v>4120000</v>
      </c>
      <c r="D15" s="23">
        <f>24830211+18380556</f>
        <v>43210767</v>
      </c>
      <c r="E15" s="1"/>
      <c r="F15" s="1"/>
      <c r="G15" s="1"/>
    </row>
    <row r="16" spans="1:9" ht="15" customHeight="1" x14ac:dyDescent="0.25">
      <c r="A16" s="7" t="s">
        <v>15</v>
      </c>
      <c r="B16" s="23">
        <v>1227952946</v>
      </c>
      <c r="C16" s="23">
        <v>0</v>
      </c>
      <c r="D16" s="23">
        <f>39049884+1075973796</f>
        <v>1115023680</v>
      </c>
      <c r="E16" s="1"/>
      <c r="F16" s="1"/>
      <c r="G16" s="1"/>
    </row>
    <row r="17" spans="1:7" x14ac:dyDescent="0.25">
      <c r="A17" s="7" t="s">
        <v>77</v>
      </c>
      <c r="B17" s="23">
        <v>19042849</v>
      </c>
      <c r="C17" s="23">
        <v>0</v>
      </c>
      <c r="D17" s="23">
        <v>19042849</v>
      </c>
      <c r="E17" s="1"/>
      <c r="F17" s="1"/>
      <c r="G17" s="1"/>
    </row>
    <row r="18" spans="1:7" x14ac:dyDescent="0.25">
      <c r="A18" s="7" t="s">
        <v>16</v>
      </c>
      <c r="B18" s="23">
        <v>14800000</v>
      </c>
      <c r="C18" s="23">
        <v>290000</v>
      </c>
      <c r="D18" s="23">
        <f>1005474+1176667</f>
        <v>2182141</v>
      </c>
      <c r="E18" s="1"/>
      <c r="F18" s="1"/>
      <c r="G18" s="1"/>
    </row>
    <row r="19" spans="1:7" x14ac:dyDescent="0.25">
      <c r="A19" s="13" t="s">
        <v>17</v>
      </c>
      <c r="B19" s="23">
        <v>19504877</v>
      </c>
      <c r="C19" s="23">
        <v>0</v>
      </c>
      <c r="D19" s="23">
        <f>341305+2509127</f>
        <v>2850432</v>
      </c>
      <c r="E19" s="1"/>
      <c r="F19" s="1"/>
      <c r="G19" s="1"/>
    </row>
    <row r="20" spans="1:7" x14ac:dyDescent="0.25">
      <c r="A20" s="7" t="s">
        <v>18</v>
      </c>
      <c r="B20" s="23">
        <v>46100000</v>
      </c>
      <c r="C20" s="23">
        <v>1000000</v>
      </c>
      <c r="D20" s="23">
        <f>6027000+2319000</f>
        <v>8346000</v>
      </c>
      <c r="E20" s="1"/>
      <c r="F20" s="1"/>
      <c r="G20" s="1"/>
    </row>
    <row r="21" spans="1:7" x14ac:dyDescent="0.25">
      <c r="A21" s="7" t="s">
        <v>124</v>
      </c>
      <c r="B21" s="23">
        <v>57734519</v>
      </c>
      <c r="C21" s="23">
        <v>2110476</v>
      </c>
      <c r="D21" s="23">
        <f>1499880+5318814</f>
        <v>6818694</v>
      </c>
      <c r="E21" s="1"/>
      <c r="F21" s="1"/>
      <c r="G21" s="1"/>
    </row>
    <row r="22" spans="1:7" x14ac:dyDescent="0.25">
      <c r="A22" s="7" t="s">
        <v>128</v>
      </c>
      <c r="B22" s="23">
        <v>67150000</v>
      </c>
      <c r="C22" s="23">
        <v>190000</v>
      </c>
      <c r="D22" s="23">
        <f>9414179+13422338</f>
        <v>22836517</v>
      </c>
      <c r="E22" s="1"/>
      <c r="F22" s="1"/>
      <c r="G22" s="1"/>
    </row>
    <row r="23" spans="1:7" x14ac:dyDescent="0.25">
      <c r="A23" s="7" t="s">
        <v>19</v>
      </c>
      <c r="B23" s="23">
        <v>70609031</v>
      </c>
      <c r="C23" s="23">
        <v>553456</v>
      </c>
      <c r="D23" s="23">
        <f>4556680+4939112</f>
        <v>9495792</v>
      </c>
      <c r="E23" s="1"/>
      <c r="F23" s="1"/>
      <c r="G23" s="1"/>
    </row>
    <row r="24" spans="1:7" ht="15" customHeight="1" x14ac:dyDescent="0.25">
      <c r="A24" s="12" t="s">
        <v>20</v>
      </c>
      <c r="B24" s="23">
        <v>952431348</v>
      </c>
      <c r="C24" s="23">
        <v>1223480</v>
      </c>
      <c r="D24" s="23">
        <f>7156486+243923677</f>
        <v>251080163</v>
      </c>
      <c r="E24" s="1"/>
      <c r="F24" s="1"/>
      <c r="G24" s="1"/>
    </row>
    <row r="25" spans="1:7" x14ac:dyDescent="0.25">
      <c r="A25" s="7" t="s">
        <v>21</v>
      </c>
      <c r="B25" s="23">
        <v>126796414</v>
      </c>
      <c r="C25" s="23">
        <v>89955628</v>
      </c>
      <c r="D25" s="23">
        <f>6151580+7580288</f>
        <v>13731868</v>
      </c>
      <c r="E25" s="1"/>
      <c r="F25" s="1"/>
      <c r="G25" s="1"/>
    </row>
    <row r="26" spans="1:7" x14ac:dyDescent="0.25">
      <c r="A26" s="7" t="s">
        <v>22</v>
      </c>
      <c r="B26" s="23">
        <v>229623017</v>
      </c>
      <c r="C26" s="23">
        <v>26236597</v>
      </c>
      <c r="D26" s="23">
        <f>26328831+9039491</f>
        <v>35368322</v>
      </c>
      <c r="E26" s="1"/>
      <c r="F26" s="1"/>
      <c r="G26" s="1"/>
    </row>
    <row r="27" spans="1:7" x14ac:dyDescent="0.25">
      <c r="A27" s="7" t="s">
        <v>60</v>
      </c>
      <c r="B27" s="23">
        <v>37148980</v>
      </c>
      <c r="C27" s="23">
        <v>410500</v>
      </c>
      <c r="D27" s="23">
        <v>9140136</v>
      </c>
      <c r="E27" s="1"/>
      <c r="F27" s="1"/>
      <c r="G27" s="1"/>
    </row>
    <row r="28" spans="1:7" x14ac:dyDescent="0.25">
      <c r="A28" s="7" t="s">
        <v>23</v>
      </c>
      <c r="B28" s="23">
        <v>1139118265</v>
      </c>
      <c r="C28" s="23">
        <v>350568433</v>
      </c>
      <c r="D28" s="23">
        <f>65583025+9839698</f>
        <v>75422723</v>
      </c>
      <c r="E28" s="1"/>
      <c r="F28" s="1"/>
      <c r="G28" s="1"/>
    </row>
    <row r="29" spans="1:7" ht="15" customHeight="1" x14ac:dyDescent="0.25">
      <c r="A29" s="7" t="s">
        <v>69</v>
      </c>
      <c r="B29" s="23">
        <v>520023494</v>
      </c>
      <c r="C29" s="23">
        <v>91616502</v>
      </c>
      <c r="D29" s="23">
        <f>378721+10978275</f>
        <v>11356996</v>
      </c>
      <c r="E29" s="1"/>
      <c r="F29" s="1"/>
      <c r="G29" s="1"/>
    </row>
    <row r="30" spans="1:7" x14ac:dyDescent="0.25">
      <c r="A30" s="7" t="s">
        <v>24</v>
      </c>
      <c r="B30" s="23">
        <v>1596797062</v>
      </c>
      <c r="C30" s="23">
        <v>783100983</v>
      </c>
      <c r="D30" s="23">
        <f>320620512+93362196</f>
        <v>413982708</v>
      </c>
      <c r="E30" s="1"/>
      <c r="F30" s="1"/>
      <c r="G30" s="1"/>
    </row>
    <row r="31" spans="1:7" x14ac:dyDescent="0.25">
      <c r="A31" s="7" t="s">
        <v>25</v>
      </c>
      <c r="B31" s="23">
        <v>13606885</v>
      </c>
      <c r="C31" s="23">
        <v>0</v>
      </c>
      <c r="D31" s="23">
        <f>952266+2092696</f>
        <v>3044962</v>
      </c>
      <c r="E31" s="1"/>
      <c r="F31" s="1"/>
      <c r="G31" s="1"/>
    </row>
    <row r="32" spans="1:7" x14ac:dyDescent="0.25">
      <c r="A32" s="7" t="s">
        <v>125</v>
      </c>
      <c r="B32" s="23">
        <v>2244667</v>
      </c>
      <c r="C32" s="23">
        <v>0</v>
      </c>
      <c r="D32" s="23">
        <f>163381+3118130</f>
        <v>3281511</v>
      </c>
      <c r="E32" s="1"/>
      <c r="F32" s="1"/>
      <c r="G32" s="1"/>
    </row>
    <row r="33" spans="1:7" x14ac:dyDescent="0.25">
      <c r="A33" s="7" t="s">
        <v>27</v>
      </c>
      <c r="B33" s="23">
        <v>78800000</v>
      </c>
      <c r="C33" s="23">
        <v>0</v>
      </c>
      <c r="D33" s="23">
        <f>12290329+709247</f>
        <v>12999576</v>
      </c>
      <c r="E33" s="1"/>
      <c r="F33" s="1"/>
      <c r="G33" s="1"/>
    </row>
    <row r="34" spans="1:7" x14ac:dyDescent="0.25">
      <c r="A34" s="7" t="s">
        <v>28</v>
      </c>
      <c r="B34" s="23">
        <v>69514363</v>
      </c>
      <c r="C34" s="23">
        <v>588703</v>
      </c>
      <c r="D34" s="23">
        <f>17792298+3728321</f>
        <v>21520619</v>
      </c>
      <c r="E34" s="1"/>
      <c r="F34" s="1"/>
      <c r="G34" s="1"/>
    </row>
    <row r="35" spans="1:7" x14ac:dyDescent="0.25">
      <c r="A35" s="7" t="s">
        <v>29</v>
      </c>
      <c r="B35" s="23">
        <v>39607066</v>
      </c>
      <c r="C35" s="23">
        <v>4783088</v>
      </c>
      <c r="D35" s="23">
        <f>2601410+8294979</f>
        <v>10896389</v>
      </c>
      <c r="E35" s="1"/>
      <c r="F35" s="1"/>
      <c r="G35" s="1"/>
    </row>
    <row r="36" spans="1:7" hidden="1" x14ac:dyDescent="0.25">
      <c r="A36" s="7" t="s">
        <v>30</v>
      </c>
      <c r="B36" s="23"/>
      <c r="C36" s="23"/>
      <c r="D36" s="23"/>
      <c r="E36" s="1"/>
      <c r="F36" s="1"/>
      <c r="G36" s="1"/>
    </row>
    <row r="37" spans="1:7" s="1" customFormat="1" hidden="1" x14ac:dyDescent="0.25">
      <c r="A37" s="22" t="s">
        <v>130</v>
      </c>
      <c r="B37" s="24"/>
      <c r="C37" s="24"/>
      <c r="D37" s="24"/>
    </row>
    <row r="38" spans="1:7" x14ac:dyDescent="0.25">
      <c r="A38" s="13" t="s">
        <v>31</v>
      </c>
      <c r="B38" s="23">
        <v>3316970</v>
      </c>
      <c r="C38" s="23">
        <v>181350</v>
      </c>
      <c r="D38" s="23">
        <f>181350+3134620</f>
        <v>3315970</v>
      </c>
      <c r="E38" s="1"/>
      <c r="F38" s="1"/>
      <c r="G38" s="1"/>
    </row>
    <row r="39" spans="1:7" x14ac:dyDescent="0.25">
      <c r="A39" s="7" t="s">
        <v>91</v>
      </c>
      <c r="B39" s="23">
        <v>39289015</v>
      </c>
      <c r="C39" s="23">
        <v>1473684</v>
      </c>
      <c r="D39" s="23">
        <f>5283481+6219359</f>
        <v>11502840</v>
      </c>
      <c r="E39" s="1"/>
      <c r="F39" s="1"/>
      <c r="G39" s="1"/>
    </row>
    <row r="40" spans="1:7" x14ac:dyDescent="0.25">
      <c r="A40" s="7" t="s">
        <v>32</v>
      </c>
      <c r="B40" s="23">
        <v>272617625.56</v>
      </c>
      <c r="C40" s="23">
        <v>0</v>
      </c>
      <c r="D40" s="23">
        <f>4834465+123349267</f>
        <v>128183732</v>
      </c>
      <c r="E40" s="1"/>
      <c r="F40" s="1"/>
      <c r="G40" s="1"/>
    </row>
    <row r="41" spans="1:7" x14ac:dyDescent="0.25">
      <c r="A41" s="6" t="s">
        <v>33</v>
      </c>
      <c r="B41" s="23">
        <v>145966314</v>
      </c>
      <c r="C41" s="23">
        <v>4045968</v>
      </c>
      <c r="D41" s="23">
        <f>7160227+32157934</f>
        <v>39318161</v>
      </c>
      <c r="E41" s="1"/>
      <c r="F41" s="1"/>
      <c r="G41" s="1"/>
    </row>
    <row r="42" spans="1:7" s="1" customFormat="1" hidden="1" x14ac:dyDescent="0.25">
      <c r="A42" s="22" t="s">
        <v>131</v>
      </c>
      <c r="B42" s="24"/>
      <c r="C42" s="24"/>
      <c r="D42" s="24"/>
    </row>
    <row r="43" spans="1:7" s="1" customFormat="1" x14ac:dyDescent="0.25">
      <c r="A43" s="7" t="s">
        <v>135</v>
      </c>
      <c r="B43" s="23">
        <v>1000524042</v>
      </c>
      <c r="C43" s="23">
        <v>23524326</v>
      </c>
      <c r="D43" s="25" t="s">
        <v>134</v>
      </c>
    </row>
    <row r="44" spans="1:7" x14ac:dyDescent="0.25">
      <c r="A44" s="7" t="s">
        <v>34</v>
      </c>
      <c r="B44" s="23">
        <v>81245364</v>
      </c>
      <c r="C44" s="23">
        <v>598215</v>
      </c>
      <c r="D44" s="23">
        <f>32808323+2956978</f>
        <v>35765301</v>
      </c>
      <c r="E44" s="1"/>
      <c r="F44" s="1"/>
      <c r="G44" s="1"/>
    </row>
    <row r="45" spans="1:7" x14ac:dyDescent="0.25">
      <c r="A45" s="6" t="s">
        <v>35</v>
      </c>
      <c r="B45" s="23">
        <v>32467617</v>
      </c>
      <c r="C45" s="23">
        <v>0</v>
      </c>
      <c r="D45" s="23">
        <f>7820060+22060046</f>
        <v>29880106</v>
      </c>
      <c r="E45" s="1"/>
      <c r="F45" s="1"/>
      <c r="G45" s="1"/>
    </row>
    <row r="46" spans="1:7" x14ac:dyDescent="0.25">
      <c r="A46" s="7" t="s">
        <v>36</v>
      </c>
      <c r="B46" s="23">
        <v>155545600</v>
      </c>
      <c r="C46" s="23">
        <v>15228901</v>
      </c>
      <c r="D46" s="23">
        <f>36938426+2766243</f>
        <v>39704669</v>
      </c>
      <c r="E46" s="1"/>
      <c r="F46" s="1"/>
      <c r="G46" s="1"/>
    </row>
    <row r="47" spans="1:7" x14ac:dyDescent="0.25">
      <c r="A47" s="6" t="s">
        <v>62</v>
      </c>
      <c r="B47" s="23">
        <v>14613133</v>
      </c>
      <c r="C47" s="23">
        <v>337344</v>
      </c>
      <c r="D47" s="23">
        <f>547985+999338</f>
        <v>1547323</v>
      </c>
      <c r="E47" s="1"/>
      <c r="F47" s="1"/>
      <c r="G47" s="1"/>
    </row>
    <row r="48" spans="1:7" x14ac:dyDescent="0.25">
      <c r="A48" s="6" t="s">
        <v>37</v>
      </c>
      <c r="B48" s="23">
        <v>259173880</v>
      </c>
      <c r="C48" s="23">
        <v>9061853</v>
      </c>
      <c r="D48" s="23">
        <f>47901914+28263773</f>
        <v>76165687</v>
      </c>
      <c r="E48" s="1"/>
      <c r="F48" s="1"/>
      <c r="G48" s="1"/>
    </row>
    <row r="49" spans="1:7" x14ac:dyDescent="0.25">
      <c r="A49" s="6" t="s">
        <v>38</v>
      </c>
      <c r="B49" s="23">
        <v>221182473</v>
      </c>
      <c r="C49" s="23">
        <v>13878620</v>
      </c>
      <c r="D49" s="23">
        <f>16865282+41411137</f>
        <v>58276419</v>
      </c>
      <c r="E49" s="1"/>
      <c r="F49" s="1"/>
      <c r="G49" s="1"/>
    </row>
    <row r="50" spans="1:7" x14ac:dyDescent="0.25">
      <c r="A50" s="9" t="s">
        <v>39</v>
      </c>
      <c r="B50" s="23">
        <v>1886033534</v>
      </c>
      <c r="C50" s="23">
        <f>1127895+301000+2140325+2489868+220494563+58123985</f>
        <v>284677636</v>
      </c>
      <c r="D50" s="23">
        <f>66656389+197584388</f>
        <v>264240777</v>
      </c>
      <c r="E50" s="1"/>
      <c r="F50" s="1"/>
      <c r="G50" s="1"/>
    </row>
    <row r="51" spans="1:7" x14ac:dyDescent="0.25">
      <c r="A51" s="6" t="s">
        <v>40</v>
      </c>
      <c r="B51" s="23">
        <v>47030625</v>
      </c>
      <c r="C51" s="23">
        <v>404932</v>
      </c>
      <c r="D51" s="23">
        <f>9406833+3483978</f>
        <v>12890811</v>
      </c>
      <c r="E51" s="1"/>
      <c r="F51" s="1"/>
      <c r="G51" s="1"/>
    </row>
    <row r="52" spans="1:7" x14ac:dyDescent="0.25">
      <c r="A52" s="7" t="s">
        <v>41</v>
      </c>
      <c r="B52" s="23">
        <v>4038954</v>
      </c>
      <c r="C52" s="23">
        <v>0</v>
      </c>
      <c r="D52" s="23">
        <f>0</f>
        <v>0</v>
      </c>
      <c r="E52" s="1"/>
      <c r="F52" s="1"/>
      <c r="G52" s="1"/>
    </row>
    <row r="53" spans="1:7" x14ac:dyDescent="0.25">
      <c r="A53" s="6" t="s">
        <v>42</v>
      </c>
      <c r="B53" s="23">
        <v>37257500</v>
      </c>
      <c r="C53" s="23">
        <v>990087</v>
      </c>
      <c r="D53" s="23">
        <f>4274834+3554904</f>
        <v>7829738</v>
      </c>
      <c r="E53" s="1"/>
      <c r="F53" s="1"/>
      <c r="G53" s="1"/>
    </row>
    <row r="54" spans="1:7" x14ac:dyDescent="0.25">
      <c r="A54" s="7" t="s">
        <v>63</v>
      </c>
      <c r="B54" s="23">
        <f>2579234+19160786</f>
        <v>21740020</v>
      </c>
      <c r="C54" s="23">
        <f>11796+571451</f>
        <v>583247</v>
      </c>
      <c r="D54" s="23">
        <f>9138470+5614699+52095+595286</f>
        <v>15400550</v>
      </c>
      <c r="E54" s="1"/>
      <c r="F54" s="1"/>
      <c r="G54" s="1"/>
    </row>
    <row r="55" spans="1:7" x14ac:dyDescent="0.25">
      <c r="A55" s="7" t="s">
        <v>64</v>
      </c>
      <c r="B55" s="23">
        <v>314574757</v>
      </c>
      <c r="C55" s="23">
        <v>2857379</v>
      </c>
      <c r="D55" s="23">
        <f>67130910+30047464</f>
        <v>97178374</v>
      </c>
      <c r="E55" s="1"/>
      <c r="F55" s="1"/>
      <c r="G55" s="1"/>
    </row>
    <row r="56" spans="1:7" x14ac:dyDescent="0.25">
      <c r="A56" s="7" t="s">
        <v>43</v>
      </c>
      <c r="B56" s="23">
        <v>77231089</v>
      </c>
      <c r="C56" s="23">
        <v>6000466</v>
      </c>
      <c r="D56" s="23">
        <f>20978995+6396342</f>
        <v>27375337</v>
      </c>
      <c r="E56" s="1"/>
      <c r="F56" s="1"/>
      <c r="G56" s="1"/>
    </row>
    <row r="57" spans="1:7" x14ac:dyDescent="0.25">
      <c r="A57" s="7" t="s">
        <v>44</v>
      </c>
      <c r="B57" s="23">
        <v>943265138</v>
      </c>
      <c r="C57" s="23">
        <v>488758</v>
      </c>
      <c r="D57" s="23">
        <f>6010518+88584698</f>
        <v>94595216</v>
      </c>
      <c r="E57" s="1"/>
      <c r="F57" s="1"/>
      <c r="G57" s="1"/>
    </row>
    <row r="58" spans="1:7" x14ac:dyDescent="0.25">
      <c r="A58" s="7" t="s">
        <v>132</v>
      </c>
      <c r="B58" s="23">
        <v>9280933</v>
      </c>
      <c r="C58" s="23">
        <v>65730</v>
      </c>
      <c r="D58" s="23">
        <f>529644+466578</f>
        <v>996222</v>
      </c>
      <c r="E58" s="1"/>
      <c r="F58" s="1"/>
      <c r="G58" s="1"/>
    </row>
    <row r="59" spans="1:7" x14ac:dyDescent="0.25">
      <c r="A59" s="7" t="s">
        <v>45</v>
      </c>
      <c r="B59" s="23">
        <v>54040545</v>
      </c>
      <c r="C59" s="23">
        <v>233354</v>
      </c>
      <c r="D59" s="23">
        <f>2388084+12819650</f>
        <v>15207734</v>
      </c>
      <c r="E59" s="1"/>
      <c r="F59" s="1"/>
      <c r="G59" s="1"/>
    </row>
    <row r="60" spans="1:7" ht="15" customHeight="1" x14ac:dyDescent="0.25">
      <c r="A60" s="7" t="s">
        <v>65</v>
      </c>
      <c r="B60" s="23">
        <v>228737062</v>
      </c>
      <c r="C60" s="23">
        <v>97137338</v>
      </c>
      <c r="D60" s="23">
        <f>32410773+3824136</f>
        <v>36234909</v>
      </c>
      <c r="E60" s="1"/>
      <c r="F60" s="1"/>
      <c r="G60" s="1"/>
    </row>
    <row r="61" spans="1:7" x14ac:dyDescent="0.25">
      <c r="A61" s="7" t="s">
        <v>46</v>
      </c>
      <c r="B61" s="23">
        <v>6532186</v>
      </c>
      <c r="C61" s="23">
        <v>124448</v>
      </c>
      <c r="D61" s="23">
        <f>5315193+564855</f>
        <v>5880048</v>
      </c>
      <c r="E61" s="1"/>
      <c r="F61" s="1"/>
      <c r="G61" s="1"/>
    </row>
    <row r="62" spans="1:7" x14ac:dyDescent="0.25">
      <c r="A62" s="7" t="s">
        <v>47</v>
      </c>
      <c r="B62" s="23">
        <f>83481144+38107191+2045408303</f>
        <v>2166996638</v>
      </c>
      <c r="C62" s="23">
        <f>12378006+1374122+1734120</f>
        <v>15486248</v>
      </c>
      <c r="D62" s="23">
        <f>61342714+360263111+3547920+1730673+18207889+8489636</f>
        <v>453581943</v>
      </c>
      <c r="E62" s="1"/>
      <c r="F62" s="1"/>
      <c r="G62" s="1"/>
    </row>
    <row r="63" spans="1:7" x14ac:dyDescent="0.25">
      <c r="A63" s="7" t="s">
        <v>126</v>
      </c>
      <c r="B63" s="23">
        <v>67173604</v>
      </c>
      <c r="C63" s="23">
        <v>0</v>
      </c>
      <c r="D63" s="23">
        <f>17456343+523803</f>
        <v>17980146</v>
      </c>
      <c r="E63" s="1"/>
      <c r="F63" s="1"/>
      <c r="G63" s="1"/>
    </row>
    <row r="64" spans="1:7" x14ac:dyDescent="0.25">
      <c r="A64" s="6" t="s">
        <v>48</v>
      </c>
      <c r="B64" s="23">
        <v>771536953</v>
      </c>
      <c r="C64" s="23">
        <v>20853585</v>
      </c>
      <c r="D64" s="23">
        <f>36850551+29067750</f>
        <v>65918301</v>
      </c>
      <c r="E64" s="1"/>
      <c r="F64" s="1"/>
      <c r="G64" s="1"/>
    </row>
    <row r="65" spans="1:9" x14ac:dyDescent="0.25">
      <c r="A65" s="21" t="s">
        <v>120</v>
      </c>
      <c r="B65" s="23">
        <v>32620201</v>
      </c>
      <c r="C65" s="23">
        <v>70000</v>
      </c>
      <c r="D65" s="23">
        <f>4431730+249591</f>
        <v>4681321</v>
      </c>
      <c r="E65" s="1"/>
      <c r="F65" s="1"/>
      <c r="G65" s="1"/>
    </row>
    <row r="66" spans="1:9" x14ac:dyDescent="0.25">
      <c r="A66" s="7" t="s">
        <v>49</v>
      </c>
      <c r="B66" s="23">
        <v>5694535270</v>
      </c>
      <c r="C66" s="23">
        <v>66007407</v>
      </c>
      <c r="D66" s="23">
        <f>SUM(D58:D65)</f>
        <v>600480624</v>
      </c>
      <c r="E66" s="1"/>
      <c r="F66" s="1"/>
      <c r="G66" s="1"/>
    </row>
    <row r="67" spans="1:9" x14ac:dyDescent="0.25">
      <c r="A67" s="8" t="s">
        <v>50</v>
      </c>
      <c r="B67" s="23">
        <v>1198078407</v>
      </c>
      <c r="C67" s="23">
        <v>965859425</v>
      </c>
      <c r="D67" s="23">
        <f>234862397+557598</f>
        <v>235419995</v>
      </c>
      <c r="F67" s="1"/>
      <c r="G67" s="1"/>
    </row>
    <row r="68" spans="1:9" x14ac:dyDescent="0.25">
      <c r="A68" s="6" t="s">
        <v>51</v>
      </c>
      <c r="B68" s="23">
        <v>220500000</v>
      </c>
      <c r="C68" s="23">
        <v>2010000</v>
      </c>
      <c r="D68" s="23">
        <f>28080405+35558736</f>
        <v>63639141</v>
      </c>
      <c r="F68" s="1"/>
      <c r="G68" s="1"/>
    </row>
    <row r="69" spans="1:9" x14ac:dyDescent="0.25">
      <c r="A69" s="10" t="s">
        <v>66</v>
      </c>
      <c r="B69" s="23">
        <v>73455911</v>
      </c>
      <c r="C69" s="23">
        <v>4977291</v>
      </c>
      <c r="D69" s="23">
        <f>7891251+4410158</f>
        <v>12301409</v>
      </c>
      <c r="F69" s="1"/>
      <c r="G69" s="1"/>
    </row>
    <row r="70" spans="1:9" ht="15" customHeight="1" x14ac:dyDescent="0.25">
      <c r="A70" s="7" t="s">
        <v>52</v>
      </c>
      <c r="B70" s="23">
        <v>22239677</v>
      </c>
      <c r="C70" s="23">
        <v>3199144</v>
      </c>
      <c r="D70" s="23">
        <f>2612786+1328137</f>
        <v>3940923</v>
      </c>
      <c r="F70" s="1"/>
      <c r="G70" s="1"/>
    </row>
    <row r="71" spans="1:9" x14ac:dyDescent="0.25">
      <c r="A71" s="6" t="s">
        <v>67</v>
      </c>
      <c r="B71" s="23">
        <v>1265127862</v>
      </c>
      <c r="C71" s="23">
        <v>0</v>
      </c>
      <c r="D71" s="23">
        <f>541848368+0</f>
        <v>541848368</v>
      </c>
      <c r="F71" s="1"/>
      <c r="G71" s="1"/>
    </row>
    <row r="72" spans="1:9" x14ac:dyDescent="0.25">
      <c r="A72" s="6" t="s">
        <v>53</v>
      </c>
      <c r="B72" s="23">
        <v>29856321</v>
      </c>
      <c r="C72" s="23">
        <v>32856</v>
      </c>
      <c r="D72" s="23">
        <f>2211080+7314816</f>
        <v>9525896</v>
      </c>
      <c r="F72" s="1"/>
      <c r="G72" s="1"/>
    </row>
    <row r="73" spans="1:9" x14ac:dyDescent="0.25">
      <c r="A73" s="7" t="s">
        <v>54</v>
      </c>
      <c r="B73" s="23">
        <v>11400000</v>
      </c>
      <c r="C73" s="23">
        <v>0</v>
      </c>
      <c r="D73" s="23">
        <f>1779182</f>
        <v>1779182</v>
      </c>
      <c r="F73" s="1"/>
      <c r="G73" s="1"/>
    </row>
    <row r="74" spans="1:9" x14ac:dyDescent="0.25">
      <c r="A74" s="17" t="s">
        <v>55</v>
      </c>
      <c r="B74" s="23">
        <v>23456383</v>
      </c>
      <c r="C74" s="23">
        <v>0</v>
      </c>
      <c r="D74" s="23">
        <f>12685904+10770479</f>
        <v>23456383</v>
      </c>
      <c r="F74" s="1"/>
      <c r="G74" s="1"/>
    </row>
    <row r="75" spans="1:9" x14ac:dyDescent="0.25">
      <c r="A75" s="16" t="s">
        <v>56</v>
      </c>
      <c r="B75" s="11">
        <f>SUM(B3:B74)</f>
        <v>25903274653.559998</v>
      </c>
      <c r="C75" s="11">
        <f t="shared" ref="C75:D75" si="0">SUM(C3:C74)</f>
        <v>2993933991</v>
      </c>
      <c r="D75" s="11">
        <f t="shared" si="0"/>
        <v>5306814975</v>
      </c>
      <c r="F75" s="1"/>
      <c r="G75" s="1"/>
      <c r="H75" s="20"/>
      <c r="I75" s="20"/>
    </row>
    <row r="76" spans="1:9" x14ac:dyDescent="0.25">
      <c r="A76" s="18" t="s">
        <v>68</v>
      </c>
      <c r="F76" s="1"/>
      <c r="G76" s="1"/>
    </row>
    <row r="77" spans="1:9" x14ac:dyDescent="0.25">
      <c r="A77" s="15" t="s">
        <v>123</v>
      </c>
      <c r="B77" s="15"/>
      <c r="C77" s="15"/>
      <c r="D77" s="15"/>
      <c r="F77" s="1"/>
      <c r="G77" s="1"/>
    </row>
    <row r="78" spans="1:9" s="1" customFormat="1" x14ac:dyDescent="0.25">
      <c r="A78" s="15" t="s">
        <v>127</v>
      </c>
      <c r="B78" s="15"/>
      <c r="C78" s="15"/>
      <c r="D78" s="15"/>
    </row>
    <row r="79" spans="1:9" s="1" customFormat="1" x14ac:dyDescent="0.25">
      <c r="A79" s="15" t="s">
        <v>133</v>
      </c>
      <c r="B79" s="15"/>
      <c r="C79" s="15"/>
      <c r="D79" s="15"/>
    </row>
    <row r="80" spans="1:9" x14ac:dyDescent="0.25">
      <c r="A80" s="30" t="s">
        <v>58</v>
      </c>
      <c r="B80" s="30"/>
      <c r="C80" s="30"/>
      <c r="D80" s="30"/>
    </row>
    <row r="81" spans="1:5" x14ac:dyDescent="0.25">
      <c r="A81" s="30"/>
      <c r="B81" s="30"/>
      <c r="C81" s="30"/>
      <c r="D81" s="30"/>
    </row>
    <row r="82" spans="1:5" x14ac:dyDescent="0.25">
      <c r="A82" s="26" t="s">
        <v>59</v>
      </c>
      <c r="B82" s="26"/>
      <c r="C82" s="26"/>
      <c r="D82" s="26"/>
    </row>
    <row r="83" spans="1:5" x14ac:dyDescent="0.25">
      <c r="A83" s="26" t="s">
        <v>57</v>
      </c>
      <c r="B83" s="26"/>
      <c r="C83" s="26"/>
      <c r="D83" s="26"/>
    </row>
    <row r="84" spans="1:5" x14ac:dyDescent="0.25">
      <c r="A84" s="26" t="s">
        <v>61</v>
      </c>
      <c r="B84" s="26"/>
      <c r="C84" s="26"/>
      <c r="D84" s="26"/>
    </row>
    <row r="85" spans="1:5" ht="22.5" customHeight="1" x14ac:dyDescent="0.25">
      <c r="A85" s="26"/>
      <c r="B85" s="26"/>
      <c r="C85" s="26"/>
      <c r="D85" s="26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4"/>
      <c r="B92" s="14"/>
      <c r="C92" s="14"/>
      <c r="D92" s="14"/>
      <c r="E92" s="14"/>
    </row>
  </sheetData>
  <mergeCells count="5">
    <mergeCell ref="A84:D85"/>
    <mergeCell ref="A1:D1"/>
    <mergeCell ref="A83:D83"/>
    <mergeCell ref="A80:D81"/>
    <mergeCell ref="A82:D8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L22" sqref="L22"/>
    </sheetView>
  </sheetViews>
  <sheetFormatPr defaultRowHeight="15" x14ac:dyDescent="0.25"/>
  <cols>
    <col min="1" max="1" width="17" customWidth="1"/>
    <col min="2" max="2" width="20.85546875" customWidth="1"/>
    <col min="3" max="3" width="20" customWidth="1"/>
    <col min="4" max="4" width="15.140625" customWidth="1"/>
  </cols>
  <sheetData>
    <row r="1" spans="1:4" x14ac:dyDescent="0.25">
      <c r="A1" t="s">
        <v>116</v>
      </c>
      <c r="B1" t="s">
        <v>117</v>
      </c>
      <c r="C1" t="s">
        <v>118</v>
      </c>
      <c r="D1" t="s">
        <v>119</v>
      </c>
    </row>
    <row r="2" spans="1:4" x14ac:dyDescent="0.25">
      <c r="A2" t="s">
        <v>49</v>
      </c>
      <c r="B2">
        <v>5694535270</v>
      </c>
      <c r="C2">
        <v>66007407</v>
      </c>
      <c r="D2">
        <v>600480624</v>
      </c>
    </row>
    <row r="3" spans="1:4" x14ac:dyDescent="0.25">
      <c r="A3" t="s">
        <v>47</v>
      </c>
      <c r="B3">
        <v>2166996638</v>
      </c>
      <c r="C3">
        <v>15486248</v>
      </c>
      <c r="D3">
        <v>453581943</v>
      </c>
    </row>
    <row r="4" spans="1:4" x14ac:dyDescent="0.25">
      <c r="A4" t="s">
        <v>39</v>
      </c>
      <c r="B4">
        <v>1886033534</v>
      </c>
      <c r="C4">
        <v>284677636</v>
      </c>
      <c r="D4">
        <v>264240777</v>
      </c>
    </row>
    <row r="5" spans="1:4" x14ac:dyDescent="0.25">
      <c r="A5" t="s">
        <v>24</v>
      </c>
      <c r="B5">
        <v>1596797062</v>
      </c>
      <c r="C5">
        <v>783100983</v>
      </c>
      <c r="D5">
        <v>413982708</v>
      </c>
    </row>
    <row r="6" spans="1:4" x14ac:dyDescent="0.25">
      <c r="A6" t="s">
        <v>109</v>
      </c>
      <c r="B6">
        <v>1265127862</v>
      </c>
      <c r="C6">
        <v>0</v>
      </c>
      <c r="D6">
        <v>541848368</v>
      </c>
    </row>
    <row r="7" spans="1:4" x14ac:dyDescent="0.25">
      <c r="A7" t="s">
        <v>15</v>
      </c>
      <c r="B7">
        <v>1227952946</v>
      </c>
      <c r="C7">
        <v>0</v>
      </c>
      <c r="D7">
        <v>1115023680</v>
      </c>
    </row>
    <row r="8" spans="1:4" x14ac:dyDescent="0.25">
      <c r="A8" t="s">
        <v>50</v>
      </c>
      <c r="B8">
        <v>1198078407</v>
      </c>
      <c r="C8">
        <v>965859425</v>
      </c>
      <c r="D8">
        <v>235419995</v>
      </c>
    </row>
    <row r="9" spans="1:4" x14ac:dyDescent="0.25">
      <c r="A9" t="s">
        <v>23</v>
      </c>
      <c r="B9">
        <v>1139118265</v>
      </c>
      <c r="C9">
        <v>350568433</v>
      </c>
      <c r="D9">
        <v>75422723</v>
      </c>
    </row>
    <row r="10" spans="1:4" x14ac:dyDescent="0.25">
      <c r="A10" t="s">
        <v>81</v>
      </c>
      <c r="B10">
        <v>952431348</v>
      </c>
      <c r="C10">
        <v>1223480</v>
      </c>
      <c r="D10">
        <v>251080163</v>
      </c>
    </row>
    <row r="11" spans="1:4" x14ac:dyDescent="0.25">
      <c r="A11" t="s">
        <v>101</v>
      </c>
      <c r="B11">
        <v>943265138</v>
      </c>
      <c r="C11">
        <v>488758</v>
      </c>
      <c r="D11">
        <v>94595216</v>
      </c>
    </row>
    <row r="12" spans="1:4" x14ac:dyDescent="0.25">
      <c r="A12" t="s">
        <v>48</v>
      </c>
      <c r="B12">
        <v>771536953</v>
      </c>
      <c r="C12">
        <v>20853585</v>
      </c>
      <c r="D12">
        <v>65918301</v>
      </c>
    </row>
    <row r="13" spans="1:4" x14ac:dyDescent="0.25">
      <c r="A13" t="s">
        <v>85</v>
      </c>
      <c r="B13">
        <v>520023494</v>
      </c>
      <c r="C13">
        <v>91616502</v>
      </c>
      <c r="D13">
        <v>11356996</v>
      </c>
    </row>
    <row r="14" spans="1:4" x14ac:dyDescent="0.25">
      <c r="A14" t="s">
        <v>76</v>
      </c>
      <c r="B14">
        <v>368150000</v>
      </c>
      <c r="C14">
        <v>4120000</v>
      </c>
      <c r="D14">
        <v>43210767</v>
      </c>
    </row>
    <row r="15" spans="1:4" x14ac:dyDescent="0.25">
      <c r="A15" t="s">
        <v>100</v>
      </c>
      <c r="B15">
        <v>314574757</v>
      </c>
      <c r="C15">
        <v>2857379</v>
      </c>
      <c r="D15">
        <v>97178374</v>
      </c>
    </row>
    <row r="16" spans="1:4" x14ac:dyDescent="0.25">
      <c r="A16" t="s">
        <v>92</v>
      </c>
      <c r="B16">
        <v>272617625.56</v>
      </c>
      <c r="C16">
        <v>0</v>
      </c>
      <c r="D16">
        <v>128183732</v>
      </c>
    </row>
    <row r="17" spans="1:12" x14ac:dyDescent="0.25">
      <c r="A17" t="s">
        <v>95</v>
      </c>
      <c r="B17">
        <v>259173880</v>
      </c>
      <c r="C17">
        <v>9061853</v>
      </c>
      <c r="D17">
        <v>76165687</v>
      </c>
    </row>
    <row r="18" spans="1:12" x14ac:dyDescent="0.25">
      <c r="A18" t="s">
        <v>83</v>
      </c>
      <c r="B18">
        <v>229623017</v>
      </c>
      <c r="C18">
        <v>26236597</v>
      </c>
      <c r="D18">
        <v>35368322</v>
      </c>
    </row>
    <row r="19" spans="1:12" x14ac:dyDescent="0.25">
      <c r="A19" t="s">
        <v>104</v>
      </c>
      <c r="B19">
        <v>228737062</v>
      </c>
      <c r="C19">
        <v>97137338</v>
      </c>
      <c r="D19">
        <v>36234909</v>
      </c>
    </row>
    <row r="20" spans="1:12" x14ac:dyDescent="0.25">
      <c r="A20" t="s">
        <v>96</v>
      </c>
      <c r="B20">
        <v>221182473</v>
      </c>
      <c r="C20">
        <v>13878620</v>
      </c>
      <c r="D20">
        <v>58276419</v>
      </c>
    </row>
    <row r="21" spans="1:12" x14ac:dyDescent="0.25">
      <c r="A21" t="s">
        <v>107</v>
      </c>
      <c r="B21">
        <v>220500000</v>
      </c>
      <c r="C21">
        <v>2010000</v>
      </c>
      <c r="D21">
        <v>63639141</v>
      </c>
      <c r="L21">
        <f>18070336470/23912449721</f>
        <v>0.75568737962177768</v>
      </c>
    </row>
    <row r="22" spans="1:12" x14ac:dyDescent="0.25">
      <c r="A22" t="s">
        <v>74</v>
      </c>
      <c r="B22">
        <v>210845625</v>
      </c>
      <c r="C22">
        <v>14958043</v>
      </c>
      <c r="D22">
        <v>58271341</v>
      </c>
    </row>
    <row r="23" spans="1:12" x14ac:dyDescent="0.25">
      <c r="A23" t="s">
        <v>111</v>
      </c>
      <c r="B23">
        <v>155545600</v>
      </c>
      <c r="C23">
        <v>15228901</v>
      </c>
      <c r="D23">
        <v>39704669</v>
      </c>
    </row>
    <row r="24" spans="1:12" x14ac:dyDescent="0.25">
      <c r="A24" t="s">
        <v>93</v>
      </c>
      <c r="B24">
        <v>145966314</v>
      </c>
      <c r="C24">
        <v>4045968</v>
      </c>
      <c r="D24">
        <v>39318161</v>
      </c>
    </row>
    <row r="25" spans="1:12" x14ac:dyDescent="0.25">
      <c r="A25" t="s">
        <v>82</v>
      </c>
      <c r="B25">
        <v>126796414</v>
      </c>
      <c r="C25">
        <v>89955628</v>
      </c>
      <c r="D25">
        <v>13731868</v>
      </c>
    </row>
    <row r="26" spans="1:12" x14ac:dyDescent="0.25">
      <c r="A26" t="s">
        <v>75</v>
      </c>
      <c r="B26">
        <v>118300000</v>
      </c>
      <c r="C26">
        <v>65000</v>
      </c>
      <c r="D26">
        <v>15715601</v>
      </c>
    </row>
    <row r="27" spans="1:12" x14ac:dyDescent="0.25">
      <c r="A27" t="s">
        <v>71</v>
      </c>
      <c r="B27">
        <v>98000000</v>
      </c>
      <c r="C27">
        <v>20100000</v>
      </c>
      <c r="D27">
        <v>26805879</v>
      </c>
    </row>
    <row r="28" spans="1:12" x14ac:dyDescent="0.25">
      <c r="A28" t="s">
        <v>73</v>
      </c>
      <c r="B28">
        <v>95869377</v>
      </c>
      <c r="C28">
        <v>571224</v>
      </c>
      <c r="D28">
        <v>24286505</v>
      </c>
    </row>
    <row r="29" spans="1:12" x14ac:dyDescent="0.25">
      <c r="A29" t="s">
        <v>12</v>
      </c>
      <c r="B29">
        <v>87609324</v>
      </c>
      <c r="C29">
        <v>0</v>
      </c>
      <c r="D29">
        <v>22398301</v>
      </c>
    </row>
    <row r="30" spans="1:12" x14ac:dyDescent="0.25">
      <c r="A30" t="s">
        <v>70</v>
      </c>
      <c r="B30">
        <v>82500000</v>
      </c>
      <c r="C30">
        <v>0</v>
      </c>
      <c r="D30">
        <v>18663283</v>
      </c>
    </row>
    <row r="31" spans="1:12" x14ac:dyDescent="0.25">
      <c r="A31" t="s">
        <v>34</v>
      </c>
      <c r="B31">
        <v>81245364</v>
      </c>
      <c r="C31">
        <v>598215</v>
      </c>
      <c r="D31">
        <v>35765301</v>
      </c>
    </row>
    <row r="32" spans="1:12" x14ac:dyDescent="0.25">
      <c r="A32" t="s">
        <v>86</v>
      </c>
      <c r="B32">
        <v>78800000</v>
      </c>
      <c r="C32">
        <v>0</v>
      </c>
      <c r="D32">
        <v>12999576</v>
      </c>
    </row>
    <row r="33" spans="1:4" x14ac:dyDescent="0.25">
      <c r="A33" t="s">
        <v>43</v>
      </c>
      <c r="B33">
        <v>77231089</v>
      </c>
      <c r="C33">
        <v>6000466</v>
      </c>
      <c r="D33">
        <v>27375337</v>
      </c>
    </row>
    <row r="34" spans="1:4" x14ac:dyDescent="0.25">
      <c r="A34" t="s">
        <v>114</v>
      </c>
      <c r="B34">
        <v>73455911</v>
      </c>
      <c r="C34">
        <v>4977291</v>
      </c>
      <c r="D34">
        <v>12301409</v>
      </c>
    </row>
    <row r="35" spans="1:4" x14ac:dyDescent="0.25">
      <c r="A35" t="s">
        <v>19</v>
      </c>
      <c r="B35">
        <v>70609031</v>
      </c>
      <c r="C35">
        <v>553456</v>
      </c>
      <c r="D35">
        <v>9495792</v>
      </c>
    </row>
    <row r="36" spans="1:4" x14ac:dyDescent="0.25">
      <c r="A36" t="s">
        <v>87</v>
      </c>
      <c r="B36">
        <v>69514363</v>
      </c>
      <c r="C36">
        <v>588703</v>
      </c>
      <c r="D36">
        <v>21520619</v>
      </c>
    </row>
    <row r="37" spans="1:4" x14ac:dyDescent="0.25">
      <c r="A37" t="s">
        <v>115</v>
      </c>
      <c r="B37">
        <v>67173604</v>
      </c>
      <c r="C37">
        <v>0</v>
      </c>
      <c r="D37">
        <v>17980146</v>
      </c>
    </row>
    <row r="38" spans="1:4" x14ac:dyDescent="0.25">
      <c r="A38" t="s">
        <v>80</v>
      </c>
      <c r="B38">
        <v>64010000</v>
      </c>
      <c r="C38">
        <v>280000</v>
      </c>
      <c r="D38">
        <v>23627212</v>
      </c>
    </row>
    <row r="39" spans="1:4" x14ac:dyDescent="0.25">
      <c r="A39" t="s">
        <v>79</v>
      </c>
      <c r="B39">
        <v>57734519</v>
      </c>
      <c r="C39">
        <v>2110476</v>
      </c>
      <c r="D39">
        <v>6818694</v>
      </c>
    </row>
    <row r="40" spans="1:4" x14ac:dyDescent="0.25">
      <c r="A40" t="s">
        <v>103</v>
      </c>
      <c r="B40">
        <v>54040545</v>
      </c>
      <c r="C40">
        <v>233354</v>
      </c>
      <c r="D40">
        <v>15207734</v>
      </c>
    </row>
    <row r="41" spans="1:4" x14ac:dyDescent="0.25">
      <c r="A41" t="s">
        <v>97</v>
      </c>
      <c r="B41">
        <v>47030625</v>
      </c>
      <c r="C41">
        <v>404932</v>
      </c>
      <c r="D41">
        <v>12890811</v>
      </c>
    </row>
    <row r="42" spans="1:4" x14ac:dyDescent="0.25">
      <c r="A42" t="s">
        <v>18</v>
      </c>
      <c r="B42">
        <v>46100000</v>
      </c>
      <c r="C42">
        <v>1000000</v>
      </c>
      <c r="D42">
        <v>8346000</v>
      </c>
    </row>
    <row r="43" spans="1:4" x14ac:dyDescent="0.25">
      <c r="A43" t="s">
        <v>88</v>
      </c>
      <c r="B43">
        <v>39607066</v>
      </c>
      <c r="C43">
        <v>4783088</v>
      </c>
      <c r="D43">
        <v>10896389</v>
      </c>
    </row>
    <row r="44" spans="1:4" x14ac:dyDescent="0.25">
      <c r="A44" t="s">
        <v>91</v>
      </c>
      <c r="B44">
        <v>39289015</v>
      </c>
      <c r="C44">
        <v>1473684</v>
      </c>
      <c r="D44">
        <v>11502840</v>
      </c>
    </row>
    <row r="45" spans="1:4" x14ac:dyDescent="0.25">
      <c r="A45" t="s">
        <v>98</v>
      </c>
      <c r="B45">
        <v>37257500</v>
      </c>
      <c r="C45">
        <v>990087</v>
      </c>
      <c r="D45">
        <v>7829738</v>
      </c>
    </row>
    <row r="46" spans="1:4" x14ac:dyDescent="0.25">
      <c r="A46" t="s">
        <v>84</v>
      </c>
      <c r="B46">
        <v>37148980</v>
      </c>
      <c r="C46">
        <v>410500</v>
      </c>
      <c r="D46">
        <v>9140136</v>
      </c>
    </row>
    <row r="47" spans="1:4" x14ac:dyDescent="0.25">
      <c r="A47" t="s">
        <v>7</v>
      </c>
      <c r="B47">
        <v>33500000</v>
      </c>
      <c r="C47">
        <v>0</v>
      </c>
      <c r="D47">
        <v>3399482</v>
      </c>
    </row>
    <row r="48" spans="1:4" x14ac:dyDescent="0.25">
      <c r="A48" t="s">
        <v>105</v>
      </c>
      <c r="B48">
        <v>32620201</v>
      </c>
      <c r="C48">
        <v>70000</v>
      </c>
      <c r="D48">
        <v>4681321</v>
      </c>
    </row>
    <row r="49" spans="1:4" x14ac:dyDescent="0.25">
      <c r="A49" t="s">
        <v>35</v>
      </c>
      <c r="B49">
        <v>32467617</v>
      </c>
      <c r="C49">
        <v>0</v>
      </c>
      <c r="D49">
        <v>29880106</v>
      </c>
    </row>
    <row r="50" spans="1:4" x14ac:dyDescent="0.25">
      <c r="A50" t="s">
        <v>9</v>
      </c>
      <c r="B50">
        <v>32271577</v>
      </c>
      <c r="C50">
        <v>71236</v>
      </c>
      <c r="D50">
        <v>7447912</v>
      </c>
    </row>
    <row r="51" spans="1:4" x14ac:dyDescent="0.25">
      <c r="A51" t="s">
        <v>108</v>
      </c>
      <c r="B51">
        <v>29856321</v>
      </c>
      <c r="C51">
        <v>32856</v>
      </c>
      <c r="D51">
        <v>9525896</v>
      </c>
    </row>
    <row r="52" spans="1:4" x14ac:dyDescent="0.25">
      <c r="A52" t="s">
        <v>55</v>
      </c>
      <c r="B52">
        <v>23456383</v>
      </c>
      <c r="C52">
        <v>0</v>
      </c>
      <c r="D52">
        <v>23456383</v>
      </c>
    </row>
    <row r="53" spans="1:4" x14ac:dyDescent="0.25">
      <c r="A53" t="s">
        <v>52</v>
      </c>
      <c r="B53">
        <v>22239677</v>
      </c>
      <c r="C53">
        <v>3199144</v>
      </c>
      <c r="D53">
        <v>3940923</v>
      </c>
    </row>
    <row r="54" spans="1:4" x14ac:dyDescent="0.25">
      <c r="A54" t="s">
        <v>99</v>
      </c>
      <c r="B54">
        <v>21740020</v>
      </c>
      <c r="C54">
        <v>583247</v>
      </c>
      <c r="D54">
        <v>15400550</v>
      </c>
    </row>
    <row r="55" spans="1:4" x14ac:dyDescent="0.25">
      <c r="A55" t="s">
        <v>112</v>
      </c>
      <c r="B55">
        <v>19504877</v>
      </c>
      <c r="C55">
        <v>0</v>
      </c>
      <c r="D55">
        <v>2850432</v>
      </c>
    </row>
    <row r="56" spans="1:4" x14ac:dyDescent="0.25">
      <c r="A56" t="s">
        <v>77</v>
      </c>
      <c r="B56">
        <v>19042849</v>
      </c>
      <c r="C56">
        <v>0</v>
      </c>
      <c r="D56">
        <v>19042849</v>
      </c>
    </row>
    <row r="57" spans="1:4" x14ac:dyDescent="0.25">
      <c r="A57" t="s">
        <v>78</v>
      </c>
      <c r="B57">
        <v>14800000</v>
      </c>
      <c r="C57">
        <v>290000</v>
      </c>
      <c r="D57">
        <v>2182141</v>
      </c>
    </row>
    <row r="58" spans="1:4" x14ac:dyDescent="0.25">
      <c r="A58" t="s">
        <v>94</v>
      </c>
      <c r="B58">
        <v>14613133</v>
      </c>
      <c r="C58">
        <v>337344</v>
      </c>
      <c r="D58">
        <v>1547323</v>
      </c>
    </row>
    <row r="59" spans="1:4" x14ac:dyDescent="0.25">
      <c r="A59" t="s">
        <v>90</v>
      </c>
      <c r="B59">
        <v>14520109</v>
      </c>
      <c r="C59">
        <v>685498</v>
      </c>
      <c r="D59">
        <v>13370905</v>
      </c>
    </row>
    <row r="60" spans="1:4" x14ac:dyDescent="0.25">
      <c r="A60" t="s">
        <v>25</v>
      </c>
      <c r="B60">
        <v>13606885</v>
      </c>
      <c r="C60">
        <v>0</v>
      </c>
      <c r="D60">
        <v>3044962</v>
      </c>
    </row>
    <row r="61" spans="1:4" x14ac:dyDescent="0.25">
      <c r="A61" t="s">
        <v>110</v>
      </c>
      <c r="B61">
        <v>11400000</v>
      </c>
      <c r="C61">
        <v>0</v>
      </c>
      <c r="D61">
        <v>1779182</v>
      </c>
    </row>
    <row r="62" spans="1:4" x14ac:dyDescent="0.25">
      <c r="A62" t="s">
        <v>102</v>
      </c>
      <c r="B62">
        <v>9280933</v>
      </c>
      <c r="C62">
        <v>65730</v>
      </c>
      <c r="D62">
        <v>996222</v>
      </c>
    </row>
    <row r="63" spans="1:4" x14ac:dyDescent="0.25">
      <c r="A63" t="s">
        <v>72</v>
      </c>
      <c r="B63">
        <v>8620350</v>
      </c>
      <c r="C63">
        <v>0</v>
      </c>
      <c r="D63">
        <v>594221</v>
      </c>
    </row>
    <row r="64" spans="1:4" x14ac:dyDescent="0.25">
      <c r="A64" t="s">
        <v>106</v>
      </c>
      <c r="B64">
        <v>6532186</v>
      </c>
      <c r="C64">
        <v>124448</v>
      </c>
      <c r="D64">
        <v>5880048</v>
      </c>
    </row>
    <row r="65" spans="1:4" x14ac:dyDescent="0.25">
      <c r="A65" t="s">
        <v>5</v>
      </c>
      <c r="B65">
        <v>4640014</v>
      </c>
      <c r="C65">
        <v>480050</v>
      </c>
      <c r="D65">
        <v>1556049</v>
      </c>
    </row>
    <row r="66" spans="1:4" x14ac:dyDescent="0.25">
      <c r="A66" t="s">
        <v>41</v>
      </c>
      <c r="B66">
        <v>4038954</v>
      </c>
      <c r="C66">
        <v>0</v>
      </c>
      <c r="D66">
        <v>0</v>
      </c>
    </row>
    <row r="67" spans="1:4" x14ac:dyDescent="0.25">
      <c r="A67" t="s">
        <v>113</v>
      </c>
      <c r="B67">
        <v>3316970</v>
      </c>
      <c r="C67">
        <v>181350</v>
      </c>
      <c r="D67">
        <v>3315970</v>
      </c>
    </row>
    <row r="68" spans="1:4" x14ac:dyDescent="0.25">
      <c r="A68" t="s">
        <v>26</v>
      </c>
      <c r="B68">
        <v>2244667</v>
      </c>
      <c r="C68">
        <v>0</v>
      </c>
      <c r="D68">
        <v>3281511</v>
      </c>
    </row>
    <row r="69" spans="1:4" x14ac:dyDescent="0.25">
      <c r="A69" t="s">
        <v>89</v>
      </c>
    </row>
  </sheetData>
  <autoFilter ref="A1:D1">
    <sortState ref="A2:D69">
      <sortCondition descending="1" ref="B1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</dc:creator>
  <cp:lastModifiedBy>asist</cp:lastModifiedBy>
  <cp:lastPrinted>2017-07-04T12:18:47Z</cp:lastPrinted>
  <dcterms:created xsi:type="dcterms:W3CDTF">2017-06-23T07:51:06Z</dcterms:created>
  <dcterms:modified xsi:type="dcterms:W3CDTF">2019-03-28T15:22:03Z</dcterms:modified>
</cp:coreProperties>
</file>